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7995" windowHeight="6660" firstSheet="1" activeTab="4"/>
  </bookViews>
  <sheets>
    <sheet name="Please, read me" sheetId="1" r:id="rId1"/>
    <sheet name="1200 rpm" sheetId="2" r:id="rId2"/>
    <sheet name="1400 rpm" sheetId="3" r:id="rId3"/>
    <sheet name="1500 rpm" sheetId="4" r:id="rId4"/>
    <sheet name="1600 rpm" sheetId="5" r:id="rId5"/>
    <sheet name="1800 rpm" sheetId="6" r:id="rId6"/>
    <sheet name="2000 rpm" sheetId="7" r:id="rId7"/>
  </sheets>
  <definedNames/>
  <calcPr fullCalcOnLoad="1"/>
</workbook>
</file>

<file path=xl/sharedStrings.xml><?xml version="1.0" encoding="utf-8"?>
<sst xmlns="http://schemas.openxmlformats.org/spreadsheetml/2006/main" count="137" uniqueCount="36">
  <si>
    <t>Wood required kg/h</t>
  </si>
  <si>
    <t>Shaft power kW</t>
  </si>
  <si>
    <t>Electric power kWe</t>
  </si>
  <si>
    <r>
      <t xml:space="preserve">                                        </t>
    </r>
    <r>
      <rPr>
        <b/>
        <sz val="10"/>
        <rFont val="Arial"/>
        <family val="2"/>
      </rPr>
      <t>Spark Ignition Engines (4 cycles</t>
    </r>
    <r>
      <rPr>
        <sz val="10"/>
        <rFont val="Arial"/>
        <family val="0"/>
      </rPr>
      <t>)</t>
    </r>
  </si>
  <si>
    <r>
      <t xml:space="preserve">                                        </t>
    </r>
    <r>
      <rPr>
        <b/>
        <sz val="10"/>
        <rFont val="Arial"/>
        <family val="2"/>
      </rPr>
      <t>Spark Ignition Engines (4 cycles)</t>
    </r>
  </si>
  <si>
    <t>Dual fuel engine.</t>
  </si>
  <si>
    <t>Diesel replacement, litres/h</t>
  </si>
  <si>
    <t>Gas engine efficiency %</t>
  </si>
  <si>
    <t>Engine efficiency %</t>
  </si>
  <si>
    <r>
      <t>Engine swept volume, litres</t>
    </r>
    <r>
      <rPr>
        <sz val="10"/>
        <rFont val="Arial"/>
        <family val="0"/>
      </rPr>
      <t>.</t>
    </r>
  </si>
  <si>
    <t>Engine swept volume, litres.</t>
  </si>
  <si>
    <r>
      <t>Gas required m</t>
    </r>
    <r>
      <rPr>
        <b/>
        <sz val="11"/>
        <rFont val="Arial"/>
        <family val="2"/>
      </rPr>
      <t>³</t>
    </r>
    <r>
      <rPr>
        <b/>
        <sz val="10"/>
        <rFont val="Arial"/>
        <family val="2"/>
      </rPr>
      <t>/h</t>
    </r>
  </si>
  <si>
    <r>
      <t>Low calorific value of gas kJ/Nm</t>
    </r>
    <r>
      <rPr>
        <b/>
        <sz val="11"/>
        <rFont val="Arial"/>
        <family val="2"/>
      </rPr>
      <t>³</t>
    </r>
  </si>
  <si>
    <t>Low calorific value of gas kJ/Nm³</t>
  </si>
  <si>
    <r>
      <t>Data input</t>
    </r>
    <r>
      <rPr>
        <sz val="10"/>
        <rFont val="Arial"/>
        <family val="0"/>
      </rPr>
      <t>.</t>
    </r>
  </si>
  <si>
    <t xml:space="preserve"> </t>
  </si>
  <si>
    <t xml:space="preserve">engines. Wood and gas required, for dual fuel </t>
  </si>
  <si>
    <t>engines, is same as for spark ignition engines</t>
  </si>
  <si>
    <t>Note: This tool is aimed at natural aspirated</t>
  </si>
  <si>
    <t xml:space="preserve">                      running fully or partially on producer gas.</t>
  </si>
  <si>
    <t>CO2 offset, kg/h</t>
  </si>
  <si>
    <t>Diesel replacement %</t>
  </si>
  <si>
    <r>
      <t xml:space="preserve">          </t>
    </r>
    <r>
      <rPr>
        <b/>
        <sz val="12"/>
        <rFont val="Arial"/>
        <family val="2"/>
      </rPr>
      <t>Indicative performance, shaft and electric power output for engines and gensets</t>
    </r>
  </si>
  <si>
    <r>
      <t xml:space="preserve">      </t>
    </r>
    <r>
      <rPr>
        <b/>
        <sz val="12"/>
        <rFont val="Arial"/>
        <family val="2"/>
      </rPr>
      <t>Indicative performance, shaft and electric power output for engines and gensets</t>
    </r>
  </si>
  <si>
    <r>
      <t xml:space="preserve">  Data input</t>
    </r>
    <r>
      <rPr>
        <sz val="10"/>
        <rFont val="Arial"/>
        <family val="0"/>
      </rPr>
      <t>.</t>
    </r>
  </si>
  <si>
    <t>Net electric power generated kWe</t>
  </si>
  <si>
    <t xml:space="preserve">expressed or implied, for the accuracy, completness and or reliability of the mentioned </t>
  </si>
  <si>
    <t>above tool. Final determination of the suitability of the tool is the sole reponsability</t>
  </si>
  <si>
    <t>of the end user</t>
  </si>
  <si>
    <t>Disclaimer:</t>
  </si>
  <si>
    <t>Author and contributors to this tool assumes no liability or warranty or whatsoever</t>
  </si>
  <si>
    <t xml:space="preserve">  Dr. Oscar L. Jiménez.</t>
  </si>
  <si>
    <t xml:space="preserve">  Energy Project Manager.</t>
  </si>
  <si>
    <t xml:space="preserve">  Centre for the Management of Information and Energy Development.</t>
  </si>
  <si>
    <t xml:space="preserve">  Email: oscar@geprop.cu</t>
  </si>
  <si>
    <t xml:space="preserve">  Phone: (537) 2027096, (537) 2061507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</si>
</sst>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2" fillId="3" borderId="1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1" fillId="4" borderId="6" xfId="0" applyFont="1" applyFill="1" applyBorder="1" applyAlignment="1">
      <alignment/>
    </xf>
    <xf numFmtId="0" fontId="1" fillId="4" borderId="7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1" fillId="4" borderId="9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0" fillId="5" borderId="12" xfId="0" applyFill="1" applyBorder="1" applyAlignment="1" applyProtection="1">
      <alignment/>
      <protection locked="0"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9" xfId="0" applyFill="1" applyBorder="1" applyAlignment="1">
      <alignment/>
    </xf>
    <xf numFmtId="0" fontId="4" fillId="6" borderId="10" xfId="0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3" xfId="0" applyFill="1" applyBorder="1" applyAlignment="1" applyProtection="1">
      <alignment/>
      <protection locked="0"/>
    </xf>
    <xf numFmtId="2" fontId="0" fillId="2" borderId="0" xfId="0" applyNumberForma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18</xdr:row>
      <xdr:rowOff>85725</xdr:rowOff>
    </xdr:from>
    <xdr:to>
      <xdr:col>3</xdr:col>
      <xdr:colOff>676275</xdr:colOff>
      <xdr:row>25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3400425" y="3181350"/>
          <a:ext cx="133350" cy="125730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21</xdr:row>
      <xdr:rowOff>47625</xdr:rowOff>
    </xdr:from>
    <xdr:to>
      <xdr:col>4</xdr:col>
      <xdr:colOff>504825</xdr:colOff>
      <xdr:row>23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590925" y="3657600"/>
          <a:ext cx="533400" cy="2952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19</xdr:row>
      <xdr:rowOff>85725</xdr:rowOff>
    </xdr:from>
    <xdr:to>
      <xdr:col>3</xdr:col>
      <xdr:colOff>685800</xdr:colOff>
      <xdr:row>27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419475" y="3352800"/>
          <a:ext cx="133350" cy="125730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95250</xdr:rowOff>
    </xdr:from>
    <xdr:to>
      <xdr:col>4</xdr:col>
      <xdr:colOff>533400</xdr:colOff>
      <xdr:row>24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3629025" y="3876675"/>
          <a:ext cx="533400" cy="2667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18</xdr:row>
      <xdr:rowOff>9525</xdr:rowOff>
    </xdr:from>
    <xdr:to>
      <xdr:col>3</xdr:col>
      <xdr:colOff>714375</xdr:colOff>
      <xdr:row>25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3533775" y="3105150"/>
          <a:ext cx="133350" cy="125730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20</xdr:row>
      <xdr:rowOff>133350</xdr:rowOff>
    </xdr:from>
    <xdr:to>
      <xdr:col>4</xdr:col>
      <xdr:colOff>561975</xdr:colOff>
      <xdr:row>22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3743325" y="3571875"/>
          <a:ext cx="533400" cy="2952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18</xdr:row>
      <xdr:rowOff>38100</xdr:rowOff>
    </xdr:from>
    <xdr:to>
      <xdr:col>3</xdr:col>
      <xdr:colOff>647700</xdr:colOff>
      <xdr:row>25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3381375" y="3133725"/>
          <a:ext cx="133350" cy="125730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21</xdr:row>
      <xdr:rowOff>0</xdr:rowOff>
    </xdr:from>
    <xdr:to>
      <xdr:col>4</xdr:col>
      <xdr:colOff>514350</xdr:colOff>
      <xdr:row>22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3609975" y="3609975"/>
          <a:ext cx="533400" cy="2952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18</xdr:row>
      <xdr:rowOff>19050</xdr:rowOff>
    </xdr:from>
    <xdr:to>
      <xdr:col>3</xdr:col>
      <xdr:colOff>628650</xdr:colOff>
      <xdr:row>25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3381375" y="3114675"/>
          <a:ext cx="133350" cy="125730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20</xdr:row>
      <xdr:rowOff>142875</xdr:rowOff>
    </xdr:from>
    <xdr:to>
      <xdr:col>4</xdr:col>
      <xdr:colOff>504825</xdr:colOff>
      <xdr:row>22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3619500" y="3581400"/>
          <a:ext cx="533400" cy="2952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17</xdr:row>
      <xdr:rowOff>9525</xdr:rowOff>
    </xdr:from>
    <xdr:to>
      <xdr:col>3</xdr:col>
      <xdr:colOff>581025</xdr:colOff>
      <xdr:row>25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3314700" y="2943225"/>
          <a:ext cx="114300" cy="1381125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666750</xdr:colOff>
      <xdr:row>20</xdr:row>
      <xdr:rowOff>38100</xdr:rowOff>
    </xdr:from>
    <xdr:to>
      <xdr:col>4</xdr:col>
      <xdr:colOff>438150</xdr:colOff>
      <xdr:row>21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3514725" y="3476625"/>
          <a:ext cx="533400" cy="2952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workbookViewId="0" topLeftCell="A1">
      <selection activeCell="D24" sqref="D24"/>
    </sheetView>
  </sheetViews>
  <sheetFormatPr defaultColWidth="11.421875" defaultRowHeight="12.75"/>
  <cols>
    <col min="1" max="1" width="10.421875" style="0" customWidth="1"/>
    <col min="2" max="2" width="7.8515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2.75">
      <c r="A9" s="1"/>
      <c r="B9" s="1"/>
      <c r="C9" s="31" t="s">
        <v>29</v>
      </c>
      <c r="D9" s="32"/>
      <c r="E9" s="32"/>
      <c r="F9" s="32"/>
      <c r="G9" s="32"/>
      <c r="H9" s="32"/>
      <c r="I9" s="33"/>
      <c r="J9" s="1"/>
      <c r="K9" s="1"/>
      <c r="L9" s="1"/>
      <c r="M9" s="1"/>
      <c r="N9" s="1"/>
      <c r="O9" s="1"/>
      <c r="P9" s="1"/>
      <c r="Q9" s="1"/>
      <c r="R9" s="1"/>
    </row>
    <row r="10" spans="1:18" ht="12.75">
      <c r="A10" s="1"/>
      <c r="B10" s="1"/>
      <c r="C10" s="34" t="s">
        <v>30</v>
      </c>
      <c r="D10" s="35"/>
      <c r="E10" s="35"/>
      <c r="F10" s="35"/>
      <c r="G10" s="35"/>
      <c r="H10" s="35"/>
      <c r="I10" s="36"/>
      <c r="J10" s="1"/>
      <c r="K10" s="1"/>
      <c r="L10" s="1"/>
      <c r="M10" s="1"/>
      <c r="N10" s="1"/>
      <c r="O10" s="1"/>
      <c r="P10" s="1"/>
      <c r="Q10" s="1"/>
      <c r="R10" s="1"/>
    </row>
    <row r="11" spans="1:18" ht="12.75">
      <c r="A11" s="1"/>
      <c r="B11" s="1"/>
      <c r="C11" s="34" t="s">
        <v>26</v>
      </c>
      <c r="D11" s="35"/>
      <c r="E11" s="35"/>
      <c r="F11" s="35"/>
      <c r="G11" s="35"/>
      <c r="H11" s="35"/>
      <c r="I11" s="36"/>
      <c r="J11" s="1"/>
      <c r="K11" s="1"/>
      <c r="L11" s="1"/>
      <c r="M11" s="1"/>
      <c r="N11" s="1"/>
      <c r="O11" s="1"/>
      <c r="P11" s="1"/>
      <c r="Q11" s="1"/>
      <c r="R11" s="1"/>
    </row>
    <row r="12" spans="1:18" ht="12.75">
      <c r="A12" s="1"/>
      <c r="B12" s="1"/>
      <c r="C12" s="34" t="s">
        <v>27</v>
      </c>
      <c r="D12" s="35"/>
      <c r="E12" s="35"/>
      <c r="F12" s="35"/>
      <c r="G12" s="35"/>
      <c r="H12" s="35"/>
      <c r="I12" s="36"/>
      <c r="J12" s="1"/>
      <c r="K12" s="1"/>
      <c r="L12" s="1"/>
      <c r="M12" s="1"/>
      <c r="N12" s="1"/>
      <c r="O12" s="1"/>
      <c r="P12" s="1"/>
      <c r="Q12" s="1"/>
      <c r="R12" s="1"/>
    </row>
    <row r="13" spans="1:18" ht="12.75">
      <c r="A13" s="1"/>
      <c r="B13" s="1"/>
      <c r="C13" s="34" t="s">
        <v>28</v>
      </c>
      <c r="D13" s="35"/>
      <c r="E13" s="35"/>
      <c r="F13" s="35"/>
      <c r="G13" s="35"/>
      <c r="H13" s="35"/>
      <c r="I13" s="36"/>
      <c r="J13" s="1"/>
      <c r="K13" s="1"/>
      <c r="L13" s="1"/>
      <c r="M13" s="1"/>
      <c r="N13" s="1"/>
      <c r="O13" s="1"/>
      <c r="P13" s="1"/>
      <c r="Q13" s="1"/>
      <c r="R13" s="1"/>
    </row>
    <row r="14" spans="1:18" ht="12.75">
      <c r="A14" s="1"/>
      <c r="B14" s="1"/>
      <c r="C14" s="34"/>
      <c r="D14" s="35"/>
      <c r="E14" s="35"/>
      <c r="F14" s="35"/>
      <c r="G14" s="35"/>
      <c r="H14" s="35"/>
      <c r="I14" s="36"/>
      <c r="J14" s="1"/>
      <c r="K14" s="1"/>
      <c r="L14" s="1"/>
      <c r="M14" s="1"/>
      <c r="N14" s="1"/>
      <c r="O14" s="1"/>
      <c r="P14" s="1"/>
      <c r="Q14" s="1"/>
      <c r="R14" s="1"/>
    </row>
    <row r="15" spans="1:18" ht="12.75">
      <c r="A15" s="1"/>
      <c r="B15" s="1"/>
      <c r="C15" s="34" t="s">
        <v>31</v>
      </c>
      <c r="D15" s="35"/>
      <c r="E15" s="35"/>
      <c r="F15" s="35"/>
      <c r="G15" s="35"/>
      <c r="H15" s="35"/>
      <c r="I15" s="36"/>
      <c r="J15" s="1"/>
      <c r="K15" s="1"/>
      <c r="L15" s="1"/>
      <c r="M15" s="1"/>
      <c r="N15" s="1"/>
      <c r="O15" s="1"/>
      <c r="P15" s="1"/>
      <c r="Q15" s="1"/>
      <c r="R15" s="1"/>
    </row>
    <row r="16" spans="1:18" ht="12.75">
      <c r="A16" s="1"/>
      <c r="B16" s="1"/>
      <c r="C16" s="34" t="s">
        <v>32</v>
      </c>
      <c r="D16" s="35"/>
      <c r="E16" s="35"/>
      <c r="F16" s="35"/>
      <c r="G16" s="35"/>
      <c r="H16" s="35"/>
      <c r="I16" s="36"/>
      <c r="J16" s="1"/>
      <c r="K16" s="1"/>
      <c r="L16" s="1"/>
      <c r="M16" s="1"/>
      <c r="N16" s="1"/>
      <c r="O16" s="1"/>
      <c r="P16" s="1"/>
      <c r="Q16" s="1"/>
      <c r="R16" s="1"/>
    </row>
    <row r="17" spans="1:18" ht="12" customHeight="1">
      <c r="A17" s="1"/>
      <c r="B17" s="1"/>
      <c r="C17" s="34" t="s">
        <v>33</v>
      </c>
      <c r="D17" s="35"/>
      <c r="E17" s="35"/>
      <c r="F17" s="35"/>
      <c r="G17" s="35"/>
      <c r="H17" s="35"/>
      <c r="I17" s="36"/>
      <c r="J17" s="1"/>
      <c r="K17" s="1"/>
      <c r="L17" s="1"/>
      <c r="M17" s="1"/>
      <c r="N17" s="1"/>
      <c r="O17" s="1"/>
      <c r="P17" s="1"/>
      <c r="Q17" s="1"/>
      <c r="R17" s="1"/>
    </row>
    <row r="18" spans="1:18" ht="12" customHeight="1">
      <c r="A18" s="1"/>
      <c r="B18" s="1"/>
      <c r="C18" s="34" t="s">
        <v>35</v>
      </c>
      <c r="D18" s="35"/>
      <c r="E18" s="35"/>
      <c r="F18" s="35"/>
      <c r="G18" s="35"/>
      <c r="H18" s="35"/>
      <c r="I18" s="36"/>
      <c r="J18" s="1"/>
      <c r="K18" s="1"/>
      <c r="L18" s="1"/>
      <c r="M18" s="1"/>
      <c r="N18" s="1"/>
      <c r="O18" s="1"/>
      <c r="P18" s="1"/>
      <c r="Q18" s="1"/>
      <c r="R18" s="1"/>
    </row>
    <row r="19" spans="1:18" ht="12.75" customHeight="1" thickBot="1">
      <c r="A19" s="1"/>
      <c r="B19" s="1"/>
      <c r="C19" s="37" t="s">
        <v>34</v>
      </c>
      <c r="D19" s="38"/>
      <c r="E19" s="38"/>
      <c r="F19" s="38"/>
      <c r="G19" s="38"/>
      <c r="H19" s="38"/>
      <c r="I19" s="39"/>
      <c r="J19" s="1"/>
      <c r="K19" s="1"/>
      <c r="L19" s="1"/>
      <c r="M19" s="1"/>
      <c r="N19" s="1"/>
      <c r="O19" s="1"/>
      <c r="P19" s="1"/>
      <c r="Q19" s="1"/>
      <c r="R19" s="1"/>
    </row>
    <row r="20" spans="1:1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</sheetData>
  <sheetProtection password="9D0F" sheet="1" objects="1" scenarios="1" selectLockedCells="1" selectUnlockedCells="1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6"/>
  <sheetViews>
    <sheetView workbookViewId="0" topLeftCell="A1">
      <selection activeCell="A24" sqref="A24"/>
    </sheetView>
  </sheetViews>
  <sheetFormatPr defaultColWidth="11.421875" defaultRowHeight="12.75"/>
  <cols>
    <col min="2" max="2" width="20.00390625" style="0" customWidth="1"/>
  </cols>
  <sheetData>
    <row r="1" spans="1:15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ht="15.75">
      <c r="A2" s="20" t="s">
        <v>22</v>
      </c>
      <c r="B2" s="21"/>
      <c r="C2" s="21"/>
      <c r="D2" s="21"/>
      <c r="E2" s="21"/>
      <c r="F2" s="21"/>
      <c r="G2" s="21"/>
      <c r="H2" s="22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5" ht="16.5" thickBot="1">
      <c r="A3" s="23"/>
      <c r="B3" s="24" t="s">
        <v>19</v>
      </c>
      <c r="C3" s="25"/>
      <c r="D3" s="25"/>
      <c r="E3" s="25"/>
      <c r="F3" s="25"/>
      <c r="G3" s="25"/>
      <c r="H3" s="26"/>
      <c r="I3" s="1"/>
      <c r="J3" s="1"/>
      <c r="K3" s="1"/>
      <c r="L3" s="1"/>
      <c r="M3" s="1"/>
      <c r="N3" s="1"/>
      <c r="O3" s="1"/>
    </row>
    <row r="4" spans="1:14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2" ht="13.5" thickBot="1">
      <c r="A5" s="1" t="s">
        <v>4</v>
      </c>
      <c r="B5" s="4"/>
      <c r="C5" s="5"/>
      <c r="D5" s="5"/>
      <c r="E5" s="5"/>
      <c r="F5" s="9"/>
      <c r="G5" s="9"/>
      <c r="H5" s="9"/>
      <c r="I5" s="1"/>
      <c r="J5" s="1"/>
      <c r="K5" s="1"/>
      <c r="L5" s="1"/>
    </row>
    <row r="6" spans="1:12" ht="12.75">
      <c r="A6" s="2" t="s">
        <v>0</v>
      </c>
      <c r="B6" s="1"/>
      <c r="C6" s="28">
        <f>A21*5.1</f>
        <v>5.1</v>
      </c>
      <c r="D6" s="1"/>
      <c r="E6" s="1"/>
      <c r="F6" s="9"/>
      <c r="G6" s="9"/>
      <c r="H6" s="9"/>
      <c r="I6" s="1"/>
      <c r="J6" s="1"/>
      <c r="K6" s="1"/>
      <c r="L6" s="1"/>
    </row>
    <row r="7" spans="1:12" ht="15">
      <c r="A7" s="2" t="s">
        <v>11</v>
      </c>
      <c r="B7" s="1"/>
      <c r="C7" s="28">
        <f>A21*11.2</f>
        <v>11.2</v>
      </c>
      <c r="D7" s="1"/>
      <c r="E7" s="1"/>
      <c r="F7" s="9"/>
      <c r="G7" s="9"/>
      <c r="H7" s="9"/>
      <c r="I7" s="1"/>
      <c r="J7" s="1"/>
      <c r="K7" s="1"/>
      <c r="L7" s="1"/>
    </row>
    <row r="8" spans="1:15" ht="12.75">
      <c r="A8" s="2" t="s">
        <v>1</v>
      </c>
      <c r="B8" s="1"/>
      <c r="C8" s="28">
        <f>0.272*C7*A24/3600</f>
        <v>4.256497777777779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2" t="s">
        <v>2</v>
      </c>
      <c r="B9" s="1"/>
      <c r="C9" s="28">
        <f>0.241*C7*A24/3600</f>
        <v>3.771382222222222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2" t="s">
        <v>7</v>
      </c>
      <c r="B10" s="1"/>
      <c r="C10" s="28">
        <f>((C9*3600)/(2.898*C9*A24))*100</f>
        <v>24.69654124939802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2" ht="13.5" thickBot="1">
      <c r="A11" s="1"/>
      <c r="B11" s="1"/>
      <c r="C11" s="29"/>
      <c r="D11" s="1"/>
      <c r="E11" s="10" t="s">
        <v>18</v>
      </c>
      <c r="F11" s="11"/>
      <c r="G11" s="12"/>
      <c r="H11" s="1"/>
      <c r="I11" s="1"/>
      <c r="J11" s="1"/>
      <c r="K11" s="1"/>
      <c r="L11" s="1"/>
    </row>
    <row r="12" spans="1:12" ht="13.5" thickBot="1">
      <c r="A12" s="7" t="s">
        <v>5</v>
      </c>
      <c r="B12" s="6"/>
      <c r="C12" s="30"/>
      <c r="D12" s="1"/>
      <c r="E12" s="13" t="s">
        <v>16</v>
      </c>
      <c r="F12" s="14"/>
      <c r="G12" s="15"/>
      <c r="H12" s="1"/>
      <c r="I12" s="1"/>
      <c r="J12" s="1"/>
      <c r="K12" s="1"/>
      <c r="L12" s="1"/>
    </row>
    <row r="13" spans="1:15" ht="13.5" thickBot="1">
      <c r="A13" s="2" t="s">
        <v>1</v>
      </c>
      <c r="B13" s="1"/>
      <c r="C13" s="28">
        <f>C8*1.26</f>
        <v>5.363187200000001</v>
      </c>
      <c r="D13" s="1"/>
      <c r="E13" s="16" t="s">
        <v>17</v>
      </c>
      <c r="F13" s="17"/>
      <c r="G13" s="18"/>
      <c r="H13" s="1"/>
      <c r="I13" s="1"/>
      <c r="J13" s="1"/>
      <c r="K13" s="1"/>
      <c r="L13" s="1"/>
      <c r="M13" s="1"/>
      <c r="N13" s="1"/>
      <c r="O13" s="1"/>
    </row>
    <row r="14" spans="1:15" ht="12.75">
      <c r="A14" s="2" t="s">
        <v>25</v>
      </c>
      <c r="B14" s="1"/>
      <c r="C14" s="28">
        <f>C9*1.25</f>
        <v>4.7142277777777775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30" ht="12.75">
      <c r="A15" s="2" t="s">
        <v>6</v>
      </c>
      <c r="B15" s="1"/>
      <c r="C15" s="28">
        <f>(1/4)*C14</f>
        <v>1.1785569444444444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2.75">
      <c r="A16" s="2" t="s">
        <v>20</v>
      </c>
      <c r="B16" s="1"/>
      <c r="C16" s="28">
        <f>(C15*22.384*0.4536/3.785)</f>
        <v>3.1615163374161157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2.75">
      <c r="A17" s="2" t="s">
        <v>8</v>
      </c>
      <c r="B17" s="1"/>
      <c r="C17" s="28">
        <f>(C14/((C7*A24/3600)+(((0.42+0.07*(C14/0.85))*3.78)-C15)*9.63))*100</f>
        <v>13.980464617993583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17" ht="12.75">
      <c r="A18" s="2" t="s">
        <v>21</v>
      </c>
      <c r="B18" s="1"/>
      <c r="C18" s="28">
        <f>(C15/((0.42+0.07*C14/0.85)*3.78))*100</f>
        <v>38.57656233161522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2" ht="13.5" thickBot="1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3.5" thickBot="1">
      <c r="A20" s="7" t="s">
        <v>10</v>
      </c>
      <c r="B20" s="6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7" ht="13.5" thickBot="1">
      <c r="A21" s="19">
        <v>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2" ht="13.5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3.5" thickBot="1">
      <c r="A23" s="7" t="s">
        <v>13</v>
      </c>
      <c r="B23" s="5"/>
      <c r="C23" s="6"/>
      <c r="D23" s="1"/>
      <c r="E23" s="1"/>
      <c r="F23" s="2" t="s">
        <v>14</v>
      </c>
      <c r="G23" s="1"/>
      <c r="H23" s="1"/>
      <c r="I23" s="1"/>
      <c r="J23" s="1"/>
      <c r="K23" s="1"/>
      <c r="L23" s="1"/>
    </row>
    <row r="24" spans="1:17" ht="13.5" thickBot="1">
      <c r="A24" s="27">
        <v>5030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</sheetData>
  <sheetProtection password="9D0F" sheet="1" objects="1" scenarios="1" selectLockedCells="1"/>
  <protectedRanges>
    <protectedRange password="C414" sqref="A21" name="Engine swept volume litres."/>
  </protectedRange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0"/>
  <sheetViews>
    <sheetView workbookViewId="0" topLeftCell="A1">
      <selection activeCell="A24" sqref="A24"/>
    </sheetView>
  </sheetViews>
  <sheetFormatPr defaultColWidth="11.421875" defaultRowHeight="12.75"/>
  <cols>
    <col min="2" max="2" width="20.140625" style="0" customWidth="1"/>
  </cols>
  <sheetData>
    <row r="1" spans="1:14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8" ht="15.75">
      <c r="A2" s="20" t="s">
        <v>22</v>
      </c>
      <c r="B2" s="21"/>
      <c r="C2" s="21"/>
      <c r="D2" s="21"/>
      <c r="E2" s="21"/>
      <c r="F2" s="21"/>
      <c r="G2" s="21"/>
      <c r="H2" s="22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5" ht="16.5" thickBot="1">
      <c r="A3" s="23"/>
      <c r="B3" s="24" t="s">
        <v>19</v>
      </c>
      <c r="C3" s="25"/>
      <c r="D3" s="25"/>
      <c r="E3" s="25"/>
      <c r="F3" s="25"/>
      <c r="G3" s="25"/>
      <c r="H3" s="26"/>
      <c r="I3" s="1"/>
      <c r="J3" s="1"/>
      <c r="K3" s="1"/>
      <c r="L3" s="1"/>
      <c r="M3" s="1"/>
      <c r="N3" s="1"/>
      <c r="O3" s="1"/>
    </row>
    <row r="4" spans="1:16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2" ht="13.5" thickBot="1">
      <c r="A5" s="1" t="s">
        <v>4</v>
      </c>
      <c r="B5" s="4"/>
      <c r="C5" s="5"/>
      <c r="D5" s="5"/>
      <c r="E5" s="6"/>
      <c r="F5" s="1"/>
      <c r="G5" s="1"/>
      <c r="H5" s="1"/>
      <c r="I5" s="1"/>
      <c r="J5" s="1"/>
      <c r="K5" s="1"/>
      <c r="L5" s="1"/>
    </row>
    <row r="6" spans="1:12" ht="12.75">
      <c r="A6" s="2" t="s">
        <v>0</v>
      </c>
      <c r="B6" s="1"/>
      <c r="C6" s="28">
        <f>A21*5.939</f>
        <v>5.939</v>
      </c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s="2" t="s">
        <v>11</v>
      </c>
      <c r="B7" s="1"/>
      <c r="C7" s="28">
        <f>A21*13</f>
        <v>13</v>
      </c>
      <c r="D7" s="1"/>
      <c r="E7" s="1"/>
      <c r="F7" s="1"/>
      <c r="G7" s="1"/>
      <c r="H7" s="1"/>
      <c r="I7" s="1"/>
      <c r="J7" s="1"/>
      <c r="K7" s="1"/>
      <c r="L7" s="1"/>
    </row>
    <row r="8" spans="1:15" ht="12.75">
      <c r="A8" s="2" t="s">
        <v>1</v>
      </c>
      <c r="B8" s="1"/>
      <c r="C8" s="28">
        <f>0.274*C7*A24/3600</f>
        <v>4.976905555555556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2" t="s">
        <v>2</v>
      </c>
      <c r="B9" s="1"/>
      <c r="C9" s="28">
        <f>0.241*C7*A24/3600</f>
        <v>4.377497222222222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2" t="s">
        <v>7</v>
      </c>
      <c r="B10" s="1"/>
      <c r="C10" s="28">
        <f>((C9*3600)/(2.898*C9*A24))*100</f>
        <v>24.696541249398017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2" ht="13.5" thickBot="1">
      <c r="A11" s="1"/>
      <c r="B11" s="1"/>
      <c r="C11" s="29"/>
      <c r="D11" s="1"/>
      <c r="E11" s="10" t="s">
        <v>18</v>
      </c>
      <c r="F11" s="11"/>
      <c r="G11" s="12"/>
      <c r="H11" s="1"/>
      <c r="I11" s="1"/>
      <c r="J11" s="1"/>
      <c r="K11" s="1"/>
      <c r="L11" s="1"/>
    </row>
    <row r="12" spans="1:12" ht="13.5" thickBot="1">
      <c r="A12" s="7" t="s">
        <v>5</v>
      </c>
      <c r="B12" s="6"/>
      <c r="C12" s="30"/>
      <c r="D12" s="1"/>
      <c r="E12" s="13" t="s">
        <v>16</v>
      </c>
      <c r="F12" s="14"/>
      <c r="G12" s="15"/>
      <c r="H12" s="1"/>
      <c r="I12" s="1"/>
      <c r="J12" s="1"/>
      <c r="K12" s="1"/>
      <c r="L12" s="1"/>
    </row>
    <row r="13" spans="1:15" ht="13.5" thickBot="1">
      <c r="A13" s="2" t="s">
        <v>1</v>
      </c>
      <c r="B13" s="1"/>
      <c r="C13" s="28">
        <f>C8*1.249</f>
        <v>6.21615503888889</v>
      </c>
      <c r="D13" s="1"/>
      <c r="E13" s="16" t="s">
        <v>17</v>
      </c>
      <c r="F13" s="17"/>
      <c r="G13" s="18"/>
      <c r="H13" s="1"/>
      <c r="I13" s="1"/>
      <c r="J13" s="1"/>
      <c r="K13" s="1"/>
      <c r="L13" s="1"/>
      <c r="M13" s="1"/>
      <c r="N13" s="1"/>
      <c r="O13" s="1"/>
    </row>
    <row r="14" spans="1:15" ht="12.75">
      <c r="A14" s="2" t="s">
        <v>25</v>
      </c>
      <c r="B14" s="1"/>
      <c r="C14" s="28">
        <f>C9*1.25</f>
        <v>5.471871527777777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30" ht="12.75">
      <c r="A15" s="2" t="s">
        <v>6</v>
      </c>
      <c r="B15" s="1"/>
      <c r="C15" s="28">
        <f>(1/4)*C14</f>
        <v>1.3679678819444443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2.75">
      <c r="A16" s="2" t="s">
        <v>20</v>
      </c>
      <c r="B16" s="1"/>
      <c r="C16" s="28">
        <f>(C15*22.384*0.4536/3.785)</f>
        <v>3.6696171773579915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2.75">
      <c r="A17" s="2" t="s">
        <v>8</v>
      </c>
      <c r="B17" s="1"/>
      <c r="C17" s="28">
        <f>(C14/((C7*A24/3600)+(((0.42+0.07*(C14/0.85))*3.78)-C15)*9.63))*100</f>
        <v>14.916919178547314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17" ht="12.75">
      <c r="A18" s="2" t="s">
        <v>21</v>
      </c>
      <c r="B18" s="1"/>
      <c r="C18" s="28">
        <f>(C15/((0.42+0.07*C14/0.85)*3.78))*100</f>
        <v>41.5674238536414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2" ht="13.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3.5" thickBot="1">
      <c r="A20" s="7" t="s">
        <v>10</v>
      </c>
      <c r="B20" s="6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7" ht="13.5" thickBot="1">
      <c r="A21" s="19">
        <v>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2" ht="13.5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3.5" thickBot="1">
      <c r="A23" s="7" t="s">
        <v>13</v>
      </c>
      <c r="B23" s="5"/>
      <c r="C23" s="6"/>
      <c r="D23" s="1"/>
      <c r="E23" s="1"/>
      <c r="F23" s="1"/>
      <c r="G23" s="1"/>
      <c r="H23" s="1"/>
      <c r="I23" s="1"/>
      <c r="J23" s="1"/>
      <c r="K23" s="1"/>
      <c r="L23" s="1"/>
    </row>
    <row r="24" spans="1:17" ht="13.5" thickBot="1">
      <c r="A24" s="27">
        <v>5030</v>
      </c>
      <c r="B24" s="1"/>
      <c r="C24" s="1"/>
      <c r="D24" s="1"/>
      <c r="E24" s="1"/>
      <c r="F24" s="2" t="s">
        <v>14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2" ht="12.75">
      <c r="A25" s="1"/>
      <c r="B25" s="1"/>
      <c r="C25" s="1"/>
      <c r="D25" s="1"/>
      <c r="E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</sheetData>
  <sheetProtection password="9D0F" sheet="1" objects="1" scenarios="1" selectLockedCells="1"/>
  <printOptions/>
  <pageMargins left="0.75" right="0.75" top="1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6"/>
  <sheetViews>
    <sheetView workbookViewId="0" topLeftCell="A1">
      <selection activeCell="A21" sqref="A21"/>
    </sheetView>
  </sheetViews>
  <sheetFormatPr defaultColWidth="11.421875" defaultRowHeight="12.75"/>
  <cols>
    <col min="1" max="1" width="12.7109375" style="0" customWidth="1"/>
    <col min="2" max="2" width="19.00390625" style="0" customWidth="1"/>
    <col min="3" max="3" width="12.57421875" style="0" bestFit="1" customWidth="1"/>
  </cols>
  <sheetData>
    <row r="1" spans="1:15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ht="15.75">
      <c r="A2" s="20" t="s">
        <v>22</v>
      </c>
      <c r="B2" s="21"/>
      <c r="C2" s="21"/>
      <c r="D2" s="21"/>
      <c r="E2" s="21"/>
      <c r="F2" s="21"/>
      <c r="G2" s="21"/>
      <c r="H2" s="22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5" ht="16.5" thickBot="1">
      <c r="A3" s="23"/>
      <c r="B3" s="24" t="s">
        <v>19</v>
      </c>
      <c r="C3" s="25"/>
      <c r="D3" s="25"/>
      <c r="E3" s="25"/>
      <c r="F3" s="25"/>
      <c r="G3" s="25"/>
      <c r="H3" s="26"/>
      <c r="I3" s="1"/>
      <c r="J3" s="1"/>
      <c r="K3" s="1"/>
      <c r="L3" s="1"/>
      <c r="M3" s="1"/>
      <c r="N3" s="1"/>
      <c r="O3" s="1"/>
    </row>
    <row r="4" s="1" customFormat="1" ht="13.5" thickBot="1"/>
    <row r="5" spans="1:15" ht="13.5" thickBot="1">
      <c r="A5" s="1" t="s">
        <v>4</v>
      </c>
      <c r="B5" s="4"/>
      <c r="C5" s="5"/>
      <c r="D5" s="5"/>
      <c r="E5" s="6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2" t="s">
        <v>0</v>
      </c>
      <c r="B6" s="1"/>
      <c r="C6" s="28">
        <f>A21*6.353</f>
        <v>6.353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">
      <c r="A7" s="2" t="s">
        <v>11</v>
      </c>
      <c r="B7" s="1"/>
      <c r="C7" s="28">
        <f>A21*14</f>
        <v>14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>
      <c r="A8" s="2" t="s">
        <v>1</v>
      </c>
      <c r="B8" s="1"/>
      <c r="C8" s="28">
        <f>0.274*C7*A24/3600</f>
        <v>5.359744444444445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2" t="s">
        <v>2</v>
      </c>
      <c r="B9" s="1"/>
      <c r="C9" s="28">
        <f>0.238*C7*A24/3600</f>
        <v>4.655544444444444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2" t="s">
        <v>7</v>
      </c>
      <c r="B10" s="1"/>
      <c r="C10" s="28">
        <f>((C9*3600)/(2.898*C9*A24))*100</f>
        <v>24.696541249398024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"/>
      <c r="B11" s="1"/>
      <c r="C11" s="29"/>
      <c r="D11" s="1"/>
      <c r="E11" s="10" t="s">
        <v>18</v>
      </c>
      <c r="F11" s="11"/>
      <c r="G11" s="12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7" t="s">
        <v>5</v>
      </c>
      <c r="B12" s="6"/>
      <c r="C12" s="30"/>
      <c r="D12" s="1"/>
      <c r="E12" s="13" t="s">
        <v>16</v>
      </c>
      <c r="F12" s="14"/>
      <c r="G12" s="15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2" t="s">
        <v>1</v>
      </c>
      <c r="B13" s="1"/>
      <c r="C13" s="28">
        <f>C8*1.24</f>
        <v>6.646083111111111</v>
      </c>
      <c r="D13" s="1"/>
      <c r="E13" s="16" t="s">
        <v>17</v>
      </c>
      <c r="F13" s="17"/>
      <c r="G13" s="18"/>
      <c r="H13" s="1"/>
      <c r="I13" s="1"/>
      <c r="J13" s="1"/>
      <c r="K13" s="1"/>
      <c r="L13" s="1"/>
      <c r="M13" s="1"/>
      <c r="N13" s="1"/>
      <c r="O13" s="1"/>
    </row>
    <row r="14" spans="1:15" ht="12.75">
      <c r="A14" s="2" t="s">
        <v>25</v>
      </c>
      <c r="B14" s="1"/>
      <c r="C14" s="28">
        <f>C9*1.25</f>
        <v>5.819430555555555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30" ht="12.75">
      <c r="A15" s="2" t="s">
        <v>6</v>
      </c>
      <c r="B15" s="1"/>
      <c r="C15" s="28">
        <f>(1/4)*C14</f>
        <v>1.4548576388888887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2.75">
      <c r="A16" s="2" t="s">
        <v>20</v>
      </c>
      <c r="B16" s="1"/>
      <c r="C16" s="28">
        <f>(C15*22.384*0.4536/3.785)</f>
        <v>3.902701702826948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2.75">
      <c r="A17" s="2" t="s">
        <v>8</v>
      </c>
      <c r="B17" s="1"/>
      <c r="C17" s="28">
        <f>(C14/((C7*A24/3600)+(((0.42+0.07*(C14/0.85))*3.78)-C15)*9.63))*100</f>
        <v>15.20041189636679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17" ht="12.75">
      <c r="A18" s="2" t="s">
        <v>21</v>
      </c>
      <c r="B18" s="1"/>
      <c r="C18" s="28">
        <f>(C15/((0.42+0.07*C14/0.85)*3.78))*100</f>
        <v>42.80057405124977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5" ht="13.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7" t="s">
        <v>10</v>
      </c>
      <c r="B20" s="6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7" ht="13.5" thickBot="1">
      <c r="A21" s="19">
        <v>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5" ht="13.5" thickBot="1">
      <c r="A22" s="1"/>
      <c r="B22" s="1"/>
      <c r="C22" s="1"/>
      <c r="D22" s="1"/>
      <c r="E22" s="1"/>
      <c r="F22" s="2" t="s">
        <v>14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7" t="s">
        <v>13</v>
      </c>
      <c r="B23" s="5"/>
      <c r="C23" s="6"/>
      <c r="D23" s="1"/>
      <c r="E23" s="1"/>
      <c r="G23" s="1"/>
      <c r="H23" s="1"/>
      <c r="I23" s="1"/>
      <c r="J23" s="1"/>
      <c r="K23" s="1"/>
      <c r="L23" s="1"/>
      <c r="M23" s="1"/>
      <c r="N23" s="1"/>
      <c r="O23" s="1"/>
    </row>
    <row r="24" spans="1:17" ht="13.5" thickBot="1">
      <c r="A24" s="27">
        <v>5030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</sheetData>
  <sheetProtection password="9D0F" sheet="1" objects="1" scenarios="1" selectLockedCells="1"/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5"/>
  <sheetViews>
    <sheetView tabSelected="1" workbookViewId="0" topLeftCell="A1">
      <selection activeCell="A24" sqref="A24"/>
    </sheetView>
  </sheetViews>
  <sheetFormatPr defaultColWidth="11.421875" defaultRowHeight="12.75"/>
  <cols>
    <col min="2" max="2" width="20.140625" style="0" customWidth="1"/>
  </cols>
  <sheetData>
    <row r="1" spans="1:14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8" ht="15.75">
      <c r="A2" s="20" t="s">
        <v>22</v>
      </c>
      <c r="B2" s="21"/>
      <c r="C2" s="21"/>
      <c r="D2" s="21"/>
      <c r="E2" s="21"/>
      <c r="F2" s="21"/>
      <c r="G2" s="21"/>
      <c r="H2" s="22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5" ht="16.5" thickBot="1">
      <c r="A3" s="23"/>
      <c r="B3" s="24" t="s">
        <v>19</v>
      </c>
      <c r="C3" s="25"/>
      <c r="D3" s="25"/>
      <c r="E3" s="25"/>
      <c r="F3" s="25"/>
      <c r="G3" s="25"/>
      <c r="H3" s="26"/>
      <c r="I3" s="1"/>
      <c r="J3" s="1"/>
      <c r="K3" s="1"/>
      <c r="L3" s="1"/>
      <c r="M3" s="1"/>
      <c r="N3" s="1"/>
      <c r="O3" s="1"/>
    </row>
    <row r="4" s="1" customFormat="1" ht="13.5" thickBot="1"/>
    <row r="5" spans="1:17" ht="13.5" thickBot="1">
      <c r="A5" s="1" t="s">
        <v>4</v>
      </c>
      <c r="B5" s="4"/>
      <c r="C5" s="5"/>
      <c r="D5" s="5"/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2" t="s">
        <v>0</v>
      </c>
      <c r="B6" s="1"/>
      <c r="C6" s="28">
        <f>A21*6.787</f>
        <v>6.787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2" t="s">
        <v>11</v>
      </c>
      <c r="B7" s="1"/>
      <c r="C7" s="28">
        <f>A21*14.932</f>
        <v>14.932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5" ht="12.75">
      <c r="A8" s="2" t="s">
        <v>1</v>
      </c>
      <c r="B8" s="1"/>
      <c r="C8" s="28">
        <f>0.273*C7*A24/3600</f>
        <v>5.695686966666667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2" t="s">
        <v>2</v>
      </c>
      <c r="B9" s="1"/>
      <c r="C9" s="28">
        <f>0.239*C7*A24/3600</f>
        <v>4.986334011111111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2" t="s">
        <v>7</v>
      </c>
      <c r="B10" s="1"/>
      <c r="C10" s="28">
        <f>((C9*3600)/(2.898*C9*A24))*100</f>
        <v>24.696541249398017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7" ht="13.5" thickBot="1">
      <c r="A11" s="1"/>
      <c r="B11" s="1"/>
      <c r="C11" s="29"/>
      <c r="D11" s="1"/>
      <c r="E11" s="10" t="s">
        <v>18</v>
      </c>
      <c r="F11" s="11"/>
      <c r="G11" s="12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3.5" thickBot="1">
      <c r="A12" s="7" t="s">
        <v>5</v>
      </c>
      <c r="B12" s="6"/>
      <c r="C12" s="30"/>
      <c r="D12" s="1"/>
      <c r="E12" s="13" t="s">
        <v>16</v>
      </c>
      <c r="F12" s="14"/>
      <c r="G12" s="15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5" ht="13.5" thickBot="1">
      <c r="A13" s="2" t="s">
        <v>1</v>
      </c>
      <c r="B13" s="1"/>
      <c r="C13" s="28">
        <f>C8*1.25</f>
        <v>7.119608708333334</v>
      </c>
      <c r="D13" s="1"/>
      <c r="E13" s="16" t="s">
        <v>17</v>
      </c>
      <c r="F13" s="17"/>
      <c r="G13" s="18"/>
      <c r="H13" s="1"/>
      <c r="I13" s="1"/>
      <c r="J13" s="1"/>
      <c r="K13" s="1"/>
      <c r="L13" s="1"/>
      <c r="M13" s="1"/>
      <c r="N13" s="1"/>
      <c r="O13" s="1"/>
    </row>
    <row r="14" spans="1:15" ht="12.75">
      <c r="A14" s="2" t="s">
        <v>25</v>
      </c>
      <c r="B14" s="1"/>
      <c r="C14" s="28">
        <f>C9*1.25</f>
        <v>6.232917513888889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30" ht="12.75">
      <c r="A15" s="2" t="s">
        <v>6</v>
      </c>
      <c r="B15" s="1"/>
      <c r="C15" s="28">
        <f>(1/4)*C14</f>
        <v>1.5582293784722223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2.75">
      <c r="A16" s="2" t="s">
        <v>20</v>
      </c>
      <c r="B16" s="1"/>
      <c r="C16" s="28">
        <f>(C15*22.384*0.4536/3.785)</f>
        <v>4.179999668835614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2.75">
      <c r="A17" s="2" t="s">
        <v>8</v>
      </c>
      <c r="B17" s="1"/>
      <c r="C17" s="28">
        <f>(C14/((C7*A24/3600)+(((0.42+0.07*(C14/0.85))*3.78)-C15)*9.63))*100</f>
        <v>15.648421361120477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17" ht="12.75">
      <c r="A18" s="2" t="s">
        <v>21</v>
      </c>
      <c r="B18" s="1"/>
      <c r="C18" s="28">
        <f>(C15/((0.42+0.07*C14/0.85)*3.78))*100</f>
        <v>44.169119952648124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3.5" thickBot="1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3.5" thickBot="1">
      <c r="A20" s="7" t="s">
        <v>9</v>
      </c>
      <c r="B20" s="6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3.5" thickBot="1">
      <c r="A21" s="19">
        <v>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3.5" thickBot="1">
      <c r="A22" s="1"/>
      <c r="B22" s="1"/>
      <c r="C22" s="1"/>
      <c r="D22" s="1"/>
      <c r="E22" s="1"/>
      <c r="F22" s="2" t="s">
        <v>14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3.5" thickBot="1">
      <c r="A23" s="7" t="s">
        <v>13</v>
      </c>
      <c r="B23" s="5"/>
      <c r="C23" s="6"/>
      <c r="D23" s="1"/>
      <c r="E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3.5" thickBot="1">
      <c r="A24" s="27">
        <v>5030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</sheetData>
  <sheetProtection password="9D0F" sheet="1" objects="1" scenarios="1" selectLockedCells="1"/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4"/>
  <sheetViews>
    <sheetView workbookViewId="0" topLeftCell="A1">
      <selection activeCell="A24" sqref="A24"/>
    </sheetView>
  </sheetViews>
  <sheetFormatPr defaultColWidth="11.421875" defaultRowHeight="12.75"/>
  <cols>
    <col min="1" max="1" width="12.00390625" style="0" customWidth="1"/>
    <col min="2" max="2" width="19.8515625" style="0" customWidth="1"/>
  </cols>
  <sheetData>
    <row r="1" spans="1:15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ht="15.75">
      <c r="A2" s="20" t="s">
        <v>22</v>
      </c>
      <c r="B2" s="21"/>
      <c r="C2" s="21"/>
      <c r="D2" s="21"/>
      <c r="E2" s="21"/>
      <c r="F2" s="21"/>
      <c r="G2" s="21"/>
      <c r="H2" s="22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5" ht="16.5" thickBot="1">
      <c r="A3" s="23"/>
      <c r="B3" s="24" t="s">
        <v>19</v>
      </c>
      <c r="C3" s="25"/>
      <c r="D3" s="25"/>
      <c r="E3" s="25"/>
      <c r="F3" s="25"/>
      <c r="G3" s="25"/>
      <c r="H3" s="26"/>
      <c r="I3" s="1"/>
      <c r="J3" s="1"/>
      <c r="K3" s="1"/>
      <c r="L3" s="1"/>
      <c r="M3" s="1"/>
      <c r="N3" s="1"/>
      <c r="O3" s="1"/>
    </row>
    <row r="4" s="1" customFormat="1" ht="13.5" thickBot="1"/>
    <row r="5" spans="1:30" ht="13.5" thickBot="1">
      <c r="A5" s="1" t="s">
        <v>3</v>
      </c>
      <c r="B5" s="4"/>
      <c r="C5" s="5"/>
      <c r="D5" s="5"/>
      <c r="E5" s="6"/>
      <c r="F5" s="1"/>
      <c r="G5" s="8" t="s">
        <v>15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2.75">
      <c r="A6" s="2" t="s">
        <v>0</v>
      </c>
      <c r="B6" s="1"/>
      <c r="C6" s="28">
        <f>A21*7.636</f>
        <v>7.636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5">
      <c r="A7" s="2" t="s">
        <v>11</v>
      </c>
      <c r="B7" s="1"/>
      <c r="C7" s="28">
        <f>A21*16.8</f>
        <v>16.8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15" ht="12.75">
      <c r="A8" s="2" t="s">
        <v>1</v>
      </c>
      <c r="B8" s="1"/>
      <c r="C8" s="28">
        <f>0.273*C7*A24/3600</f>
        <v>6.40822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2" t="s">
        <v>2</v>
      </c>
      <c r="B9" s="1"/>
      <c r="C9" s="28">
        <f>0.24*C7*A24/3600</f>
        <v>5.6335999999999995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2" t="s">
        <v>7</v>
      </c>
      <c r="B10" s="1"/>
      <c r="C10" s="28">
        <f>((C9*3600)/(2.898*C9*A24))*100</f>
        <v>24.69654124939802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30" ht="13.5" thickBot="1">
      <c r="A11" s="1"/>
      <c r="B11" s="1"/>
      <c r="C11" s="29"/>
      <c r="D11" s="1"/>
      <c r="E11" s="10" t="s">
        <v>18</v>
      </c>
      <c r="F11" s="11"/>
      <c r="G11" s="1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3.5" thickBot="1">
      <c r="A12" s="7" t="s">
        <v>5</v>
      </c>
      <c r="B12" s="6"/>
      <c r="C12" s="30"/>
      <c r="D12" s="1"/>
      <c r="E12" s="13" t="s">
        <v>16</v>
      </c>
      <c r="F12" s="14"/>
      <c r="G12" s="1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15" ht="13.5" thickBot="1">
      <c r="A13" s="2" t="s">
        <v>1</v>
      </c>
      <c r="B13" s="1"/>
      <c r="C13" s="28">
        <f>C8*1.25</f>
        <v>8.010275</v>
      </c>
      <c r="D13" s="1"/>
      <c r="E13" s="16" t="s">
        <v>17</v>
      </c>
      <c r="F13" s="17"/>
      <c r="G13" s="18"/>
      <c r="H13" s="1"/>
      <c r="I13" s="1"/>
      <c r="J13" s="1"/>
      <c r="K13" s="1"/>
      <c r="L13" s="1"/>
      <c r="M13" s="1"/>
      <c r="N13" s="1"/>
      <c r="O13" s="1"/>
    </row>
    <row r="14" spans="1:15" ht="12.75">
      <c r="A14" s="2" t="s">
        <v>25</v>
      </c>
      <c r="B14" s="1"/>
      <c r="C14" s="28">
        <f>C9*1.25</f>
        <v>7.042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30" ht="12.75">
      <c r="A15" s="2" t="s">
        <v>6</v>
      </c>
      <c r="B15" s="1"/>
      <c r="C15" s="28">
        <f>(1/4)*C14</f>
        <v>1.7605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2.75">
      <c r="A16" s="2" t="s">
        <v>20</v>
      </c>
      <c r="B16" s="1"/>
      <c r="C16" s="28">
        <f>(C15*22.384*0.4536/3.785)</f>
        <v>4.722597018546895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2.75">
      <c r="A17" s="2" t="s">
        <v>8</v>
      </c>
      <c r="B17" s="1"/>
      <c r="C17" s="28">
        <f>(C14/((C7*A24/3600)+(((0.42+0.07*(C14/0.85))*3.78)-C15)*9.63))*100</f>
        <v>16.40782410673686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17" ht="12.75">
      <c r="A18" s="2" t="s">
        <v>21</v>
      </c>
      <c r="B18" s="1"/>
      <c r="C18" s="28">
        <f>(C15/((0.42+0.07*C14/0.85)*3.78))*100</f>
        <v>46.57736188785439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30" ht="13.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3.5" thickBot="1">
      <c r="A20" s="7" t="s">
        <v>10</v>
      </c>
      <c r="B20" s="6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17" ht="13.5" thickBot="1">
      <c r="A21" s="19">
        <v>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30" ht="13.5" thickBot="1">
      <c r="A22" s="1"/>
      <c r="B22" s="1"/>
      <c r="C22" s="1"/>
      <c r="D22" s="1"/>
      <c r="E22" s="1"/>
      <c r="F22" s="2" t="s">
        <v>14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3.5" thickBot="1">
      <c r="A23" s="7" t="s">
        <v>13</v>
      </c>
      <c r="B23" s="5"/>
      <c r="C23" s="6"/>
      <c r="D23" s="1"/>
      <c r="E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17" ht="13.5" thickBot="1">
      <c r="A24" s="27">
        <v>5030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30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</sheetData>
  <sheetProtection password="9D0F" sheet="1" objects="1" scenarios="1" selectLockedCells="1"/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8"/>
  <sheetViews>
    <sheetView workbookViewId="0" topLeftCell="A1">
      <selection activeCell="A21" sqref="A21"/>
    </sheetView>
  </sheetViews>
  <sheetFormatPr defaultColWidth="11.421875" defaultRowHeight="12.75"/>
  <cols>
    <col min="2" max="2" width="19.8515625" style="0" customWidth="1"/>
  </cols>
  <sheetData>
    <row r="1" spans="1:18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20" t="s">
        <v>23</v>
      </c>
      <c r="B2" s="21"/>
      <c r="C2" s="21"/>
      <c r="D2" s="21"/>
      <c r="E2" s="21"/>
      <c r="F2" s="21"/>
      <c r="G2" s="21"/>
      <c r="H2" s="22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5" ht="16.5" thickBot="1">
      <c r="A3" s="23"/>
      <c r="B3" s="24" t="s">
        <v>19</v>
      </c>
      <c r="C3" s="25"/>
      <c r="D3" s="25"/>
      <c r="E3" s="25"/>
      <c r="F3" s="25"/>
      <c r="G3" s="25"/>
      <c r="H3" s="26"/>
      <c r="I3" s="1"/>
      <c r="J3" s="1"/>
      <c r="K3" s="1"/>
      <c r="L3" s="1"/>
      <c r="M3" s="1"/>
      <c r="N3" s="1"/>
      <c r="O3" s="1"/>
    </row>
    <row r="4" s="1" customFormat="1" ht="13.5" thickBot="1"/>
    <row r="5" spans="1:17" ht="13.5" thickBot="1">
      <c r="A5" s="1" t="s">
        <v>4</v>
      </c>
      <c r="B5" s="4"/>
      <c r="C5" s="5"/>
      <c r="D5" s="5"/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2" t="s">
        <v>0</v>
      </c>
      <c r="B6" s="1"/>
      <c r="C6" s="3">
        <f>A21*8.484</f>
        <v>16.968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2" t="s">
        <v>11</v>
      </c>
      <c r="B7" s="1"/>
      <c r="C7" s="3">
        <f>A21*18.655</f>
        <v>37.31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5" ht="12.75">
      <c r="A8" s="2" t="s">
        <v>1</v>
      </c>
      <c r="B8" s="1"/>
      <c r="C8" s="28">
        <f>0.273*C7*A24/3600</f>
        <v>14.231588583333336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2" t="s">
        <v>2</v>
      </c>
      <c r="B9" s="1"/>
      <c r="C9" s="28">
        <f>0.238*C7*A24/3600</f>
        <v>12.407025944444445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2" t="s">
        <v>7</v>
      </c>
      <c r="B10" s="1"/>
      <c r="C10" s="28">
        <f>((C9*3600)/(2.898*C9*A24))*100</f>
        <v>24.69654124939802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7" ht="13.5" thickBot="1">
      <c r="A11" s="1"/>
      <c r="B11" s="1"/>
      <c r="C11" s="1"/>
      <c r="D11" s="1"/>
      <c r="E11" s="10" t="s">
        <v>18</v>
      </c>
      <c r="F11" s="11"/>
      <c r="G11" s="12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3.5" thickBot="1">
      <c r="A12" s="7" t="s">
        <v>5</v>
      </c>
      <c r="B12" s="6"/>
      <c r="C12" s="2"/>
      <c r="D12" s="1"/>
      <c r="E12" s="13" t="s">
        <v>16</v>
      </c>
      <c r="F12" s="14"/>
      <c r="G12" s="15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5" ht="13.5" thickBot="1">
      <c r="A13" s="2" t="s">
        <v>1</v>
      </c>
      <c r="B13" s="1"/>
      <c r="C13" s="28">
        <f>C8*1.251</f>
        <v>17.803717317750003</v>
      </c>
      <c r="D13" s="1"/>
      <c r="E13" s="16" t="s">
        <v>17</v>
      </c>
      <c r="F13" s="17"/>
      <c r="G13" s="18"/>
      <c r="H13" s="1"/>
      <c r="I13" s="1"/>
      <c r="J13" s="1"/>
      <c r="K13" s="1"/>
      <c r="L13" s="1"/>
      <c r="M13" s="1"/>
      <c r="N13" s="1"/>
      <c r="O13" s="1"/>
    </row>
    <row r="14" spans="1:15" ht="12.75">
      <c r="A14" s="2" t="s">
        <v>25</v>
      </c>
      <c r="B14" s="1"/>
      <c r="C14" s="28">
        <f>C9*1.25</f>
        <v>15.508782430555556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30" ht="12.75">
      <c r="A15" s="2" t="s">
        <v>6</v>
      </c>
      <c r="B15" s="1"/>
      <c r="C15" s="28">
        <f>(1/4)*C14</f>
        <v>3.877195607638889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2.75">
      <c r="A16" s="2" t="s">
        <v>20</v>
      </c>
      <c r="B16" s="1"/>
      <c r="C16" s="3">
        <f>(C15*22.384*0.4536/3.785)</f>
        <v>10.400700038033817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2.75">
      <c r="A17" s="2" t="s">
        <v>8</v>
      </c>
      <c r="B17" s="1"/>
      <c r="C17" s="28">
        <f>(C14/((C7*A24/3600)+(((0.42+0.07*(C14/0.85))*3.78)-C15)*9.63))*100</f>
        <v>20.253538480575795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17" ht="12.75">
      <c r="A18" s="2" t="s">
        <v>21</v>
      </c>
      <c r="B18" s="1"/>
      <c r="C18" s="28">
        <f>(C15/((0.42+0.07*C14/0.85)*3.78))*100</f>
        <v>60.43582619585646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3.5" thickBot="1">
      <c r="A19" s="2"/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30" ht="13.5" thickBot="1">
      <c r="A20" s="7" t="s">
        <v>10</v>
      </c>
      <c r="B20" s="6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17" ht="13.5" thickBot="1">
      <c r="A21" s="19">
        <v>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3.5" thickBot="1">
      <c r="A22" s="1"/>
      <c r="B22" s="1"/>
      <c r="C22" s="1"/>
      <c r="D22" s="1"/>
      <c r="E22" s="1"/>
      <c r="F22" s="2" t="s">
        <v>24</v>
      </c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.75" thickBot="1">
      <c r="A23" s="7" t="s">
        <v>12</v>
      </c>
      <c r="B23" s="5"/>
      <c r="C23" s="6"/>
      <c r="D23" s="1"/>
      <c r="E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3.5" thickBot="1">
      <c r="A24" s="27">
        <v>5030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</sheetData>
  <sheetProtection password="9D0F" sheet="1" objects="1" scenarios="1" selectLockedCells="1"/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geprop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oscar</cp:lastModifiedBy>
  <dcterms:created xsi:type="dcterms:W3CDTF">2007-05-28T19:41:45Z</dcterms:created>
  <dcterms:modified xsi:type="dcterms:W3CDTF">2007-08-31T13:45:27Z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